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3641F439-465F-479E-B5F6-B61741ACDC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CONTRATOS CCESI" sheetId="3" r:id="rId2"/>
    <sheet name="MIGDI" sheetId="4" r:id="rId3"/>
    <sheet name="SIGFI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6" l="1"/>
  <c r="D2" i="6" l="1"/>
  <c r="C1" i="6"/>
  <c r="D2" i="4" l="1"/>
  <c r="C1" i="4"/>
  <c r="D2" i="3" l="1"/>
  <c r="C1" i="3" l="1"/>
  <c r="I9" i="3" l="1"/>
  <c r="I10" i="3"/>
  <c r="I11" i="3"/>
  <c r="J9" i="3" l="1"/>
  <c r="J11" i="3"/>
  <c r="J10" i="3"/>
  <c r="E4" i="6" l="1"/>
  <c r="E5" i="6"/>
  <c r="E6" i="6"/>
  <c r="N32" i="3"/>
  <c r="N31" i="3"/>
  <c r="N26" i="3"/>
  <c r="N25" i="3"/>
  <c r="J14" i="3"/>
  <c r="J13" i="3"/>
  <c r="J12" i="3"/>
  <c r="J16" i="3" l="1"/>
  <c r="N16" i="3"/>
  <c r="E17" i="3"/>
  <c r="D5" i="4"/>
  <c r="N15" i="3"/>
  <c r="J15" i="3"/>
  <c r="O25" i="3"/>
  <c r="Q25" i="3" s="1"/>
  <c r="T25" i="3" s="1"/>
  <c r="O26" i="3"/>
  <c r="Q26" i="3" s="1"/>
  <c r="T26" i="3" s="1"/>
  <c r="N27" i="3"/>
  <c r="E33" i="3"/>
  <c r="O31" i="3"/>
  <c r="Q31" i="3" s="1"/>
  <c r="T31" i="3" s="1"/>
  <c r="O32" i="3"/>
  <c r="Q32" i="3" s="1"/>
  <c r="T32" i="3" s="1"/>
  <c r="E7" i="6"/>
  <c r="P32" i="3" l="1"/>
  <c r="R32" i="3" s="1"/>
  <c r="U32" i="3" s="1"/>
  <c r="V32" i="3" s="1"/>
  <c r="O15" i="3"/>
  <c r="Q15" i="3" s="1"/>
  <c r="C9" i="1"/>
  <c r="C13" i="1" s="1"/>
  <c r="O16" i="3"/>
  <c r="Q16" i="3" s="1"/>
  <c r="P25" i="3"/>
  <c r="R25" i="3" s="1"/>
  <c r="U25" i="3" s="1"/>
  <c r="V25" i="3" s="1"/>
  <c r="P31" i="3"/>
  <c r="R31" i="3" s="1"/>
  <c r="U31" i="3" s="1"/>
  <c r="V31" i="3" s="1"/>
  <c r="P26" i="3"/>
  <c r="R26" i="3" s="1"/>
  <c r="U26" i="3" s="1"/>
  <c r="V26" i="3" s="1"/>
  <c r="O27" i="3"/>
  <c r="Q27" i="3" s="1"/>
  <c r="T27" i="3" s="1"/>
  <c r="P27" i="3" l="1"/>
  <c r="R27" i="3" s="1"/>
  <c r="U27" i="3" s="1"/>
  <c r="V27" i="3" s="1"/>
  <c r="P16" i="3"/>
  <c r="P15" i="3"/>
  <c r="M30" i="3" l="1"/>
  <c r="N30" i="3" s="1"/>
  <c r="M29" i="3"/>
  <c r="N29" i="3" s="1"/>
  <c r="M28" i="3"/>
  <c r="N28" i="3" s="1"/>
  <c r="M32" i="3"/>
  <c r="M31" i="3"/>
  <c r="M27" i="3"/>
  <c r="M11" i="3"/>
  <c r="N11" i="3" s="1"/>
  <c r="M26" i="3"/>
  <c r="M10" i="3"/>
  <c r="N10" i="3" s="1"/>
  <c r="M25" i="3"/>
  <c r="M9" i="3"/>
  <c r="N9" i="3" s="1"/>
  <c r="M24" i="3"/>
  <c r="N24" i="3" s="1"/>
  <c r="M23" i="3"/>
  <c r="N23" i="3" s="1"/>
  <c r="M22" i="3"/>
  <c r="N22" i="3" s="1"/>
  <c r="M21" i="3"/>
  <c r="N21" i="3" s="1"/>
  <c r="K17" i="3" l="1"/>
  <c r="O28" i="3"/>
  <c r="Q28" i="3" s="1"/>
  <c r="T28" i="3" s="1"/>
  <c r="O21" i="3"/>
  <c r="Q21" i="3" s="1"/>
  <c r="T21" i="3" s="1"/>
  <c r="O30" i="3"/>
  <c r="Q30" i="3" s="1"/>
  <c r="T30" i="3" s="1"/>
  <c r="O23" i="3"/>
  <c r="Q23" i="3" s="1"/>
  <c r="T23" i="3" s="1"/>
  <c r="T10" i="3"/>
  <c r="R10" i="3"/>
  <c r="O10" i="3"/>
  <c r="Q10" i="3" s="1"/>
  <c r="O24" i="3"/>
  <c r="Q24" i="3" s="1"/>
  <c r="T24" i="3" s="1"/>
  <c r="P24" i="3"/>
  <c r="R24" i="3" s="1"/>
  <c r="U24" i="3" s="1"/>
  <c r="V24" i="3" s="1"/>
  <c r="O29" i="3"/>
  <c r="Q29" i="3" s="1"/>
  <c r="T29" i="3" s="1"/>
  <c r="R11" i="3"/>
  <c r="U11" i="3" s="1"/>
  <c r="T11" i="3"/>
  <c r="O11" i="3"/>
  <c r="Q11" i="3" s="1"/>
  <c r="O22" i="3"/>
  <c r="Q22" i="3" s="1"/>
  <c r="T22" i="3" s="1"/>
  <c r="O9" i="3"/>
  <c r="Q9" i="3" s="1"/>
  <c r="R9" i="3"/>
  <c r="U9" i="3" s="1"/>
  <c r="T9" i="3"/>
  <c r="P9" i="3"/>
  <c r="P22" i="3" l="1"/>
  <c r="R22" i="3" s="1"/>
  <c r="U22" i="3" s="1"/>
  <c r="V22" i="3" s="1"/>
  <c r="P29" i="3"/>
  <c r="R29" i="3" s="1"/>
  <c r="U29" i="3" s="1"/>
  <c r="V29" i="3" s="1"/>
  <c r="P10" i="3"/>
  <c r="U10" i="3" s="1"/>
  <c r="W10" i="3" s="1"/>
  <c r="W9" i="3"/>
  <c r="P23" i="3"/>
  <c r="R23" i="3" s="1"/>
  <c r="U23" i="3" s="1"/>
  <c r="V23" i="3" s="1"/>
  <c r="P28" i="3"/>
  <c r="R28" i="3" s="1"/>
  <c r="U28" i="3" s="1"/>
  <c r="V28" i="3" s="1"/>
  <c r="P11" i="3"/>
  <c r="P30" i="3"/>
  <c r="R30" i="3" s="1"/>
  <c r="U30" i="3" s="1"/>
  <c r="V30" i="3" s="1"/>
  <c r="W11" i="3"/>
  <c r="P21" i="3"/>
  <c r="R21" i="3" s="1"/>
  <c r="U21" i="3" s="1"/>
  <c r="V21" i="3" s="1"/>
  <c r="V33" i="3" l="1"/>
  <c r="I15" i="3" l="1"/>
  <c r="M15" i="3" s="1"/>
  <c r="I8" i="3"/>
  <c r="T15" i="3"/>
  <c r="I16" i="3"/>
  <c r="M16" i="3" s="1"/>
  <c r="I12" i="3"/>
  <c r="M12" i="3" s="1"/>
  <c r="N12" i="3" s="1"/>
  <c r="I5" i="3"/>
  <c r="I13" i="3"/>
  <c r="M13" i="3" s="1"/>
  <c r="N13" i="3" s="1"/>
  <c r="I6" i="3"/>
  <c r="I14" i="3"/>
  <c r="M14" i="3" s="1"/>
  <c r="N14" i="3" s="1"/>
  <c r="I7" i="3"/>
  <c r="R15" i="3" l="1"/>
  <c r="U15" i="3" s="1"/>
  <c r="W15" i="3" s="1"/>
  <c r="M7" i="3"/>
  <c r="N7" i="3" s="1"/>
  <c r="J7" i="3"/>
  <c r="O14" i="3"/>
  <c r="Q14" i="3" s="1"/>
  <c r="T14" i="3" s="1"/>
  <c r="J6" i="3"/>
  <c r="M6" i="3"/>
  <c r="N6" i="3" s="1"/>
  <c r="O13" i="3"/>
  <c r="Q13" i="3" s="1"/>
  <c r="T13" i="3" s="1"/>
  <c r="J5" i="3"/>
  <c r="M5" i="3"/>
  <c r="N5" i="3" s="1"/>
  <c r="O12" i="3"/>
  <c r="Q12" i="3" s="1"/>
  <c r="T12" i="3" s="1"/>
  <c r="T16" i="3"/>
  <c r="R16" i="3"/>
  <c r="U16" i="3" s="1"/>
  <c r="J8" i="3"/>
  <c r="M8" i="3"/>
  <c r="N8" i="3" s="1"/>
  <c r="P12" i="3" l="1"/>
  <c r="R12" i="3" s="1"/>
  <c r="U12" i="3" s="1"/>
  <c r="W12" i="3" s="1"/>
  <c r="P14" i="3"/>
  <c r="R14" i="3" s="1"/>
  <c r="U14" i="3" s="1"/>
  <c r="W14" i="3" s="1"/>
  <c r="W16" i="3"/>
  <c r="P13" i="3"/>
  <c r="R13" i="3" s="1"/>
  <c r="U13" i="3" s="1"/>
  <c r="W13" i="3" s="1"/>
  <c r="O5" i="3"/>
  <c r="Q5" i="3" s="1"/>
  <c r="T5" i="3" s="1"/>
  <c r="O6" i="3"/>
  <c r="Q6" i="3" s="1"/>
  <c r="T6" i="3" s="1"/>
  <c r="O8" i="3"/>
  <c r="Q8" i="3" s="1"/>
  <c r="T8" i="3" s="1"/>
  <c r="O7" i="3"/>
  <c r="Q7" i="3" s="1"/>
  <c r="T7" i="3" s="1"/>
  <c r="P7" i="3"/>
  <c r="R7" i="3" s="1"/>
  <c r="U7" i="3" s="1"/>
  <c r="W7" i="3" s="1"/>
  <c r="P5" i="3" l="1"/>
  <c r="R5" i="3" s="1"/>
  <c r="U5" i="3" s="1"/>
  <c r="W5" i="3" s="1"/>
  <c r="P8" i="3"/>
  <c r="R8" i="3" s="1"/>
  <c r="U8" i="3" s="1"/>
  <c r="W8" i="3" s="1"/>
  <c r="P6" i="3"/>
  <c r="R6" i="3" s="1"/>
  <c r="U6" i="3" s="1"/>
  <c r="W6" i="3" s="1"/>
  <c r="W17" i="3" l="1"/>
  <c r="C7" i="1" s="1"/>
  <c r="I4" i="4"/>
  <c r="J4" i="4" s="1"/>
  <c r="J5" i="4" s="1"/>
  <c r="I4" i="6" l="1"/>
  <c r="I5" i="6" l="1"/>
  <c r="I6" i="6"/>
  <c r="J6" i="6" l="1"/>
  <c r="K6" i="6" s="1"/>
  <c r="J4" i="6"/>
  <c r="K4" i="6" s="1"/>
  <c r="J5" i="6"/>
  <c r="K5" i="6" s="1"/>
  <c r="K7" i="6" l="1"/>
  <c r="C6" i="1" s="1"/>
  <c r="C4" i="1" s="1"/>
  <c r="C14" i="1" s="1"/>
  <c r="C15" i="1" s="1"/>
  <c r="C18" i="1" s="1"/>
</calcChain>
</file>

<file path=xl/sharedStrings.xml><?xml version="1.0" encoding="utf-8"?>
<sst xmlns="http://schemas.openxmlformats.org/spreadsheetml/2006/main" count="207" uniqueCount="91">
  <si>
    <t>REEMBOLSO MENSAL</t>
  </si>
  <si>
    <t>REEMBOLSO PRELIMINAR</t>
  </si>
  <si>
    <t>REEMBOLSO MENSAL EFETIVO</t>
  </si>
  <si>
    <t>R$</t>
  </si>
  <si>
    <t>CEG</t>
  </si>
  <si>
    <t>BBF AC</t>
  </si>
  <si>
    <t>UTE.PE.AC.034414-1.01</t>
  </si>
  <si>
    <t>UTE Jordão</t>
  </si>
  <si>
    <t>UTE.PE.AC.034412-5.01</t>
  </si>
  <si>
    <t>UTE Marechal Thaumaturgo</t>
  </si>
  <si>
    <t>UTE.PE.AC.034413-3.01</t>
  </si>
  <si>
    <t>UTE Porto Walter</t>
  </si>
  <si>
    <t>UTE.PE.AC.034415-0.01</t>
  </si>
  <si>
    <t>UTE Santa Rosa do Purus</t>
  </si>
  <si>
    <t>GUASCOR</t>
  </si>
  <si>
    <t>UTE.PE.AC.034372-2.01</t>
  </si>
  <si>
    <t>CRUZEIRO DO SUL</t>
  </si>
  <si>
    <t>UTE.PE.AC.034374-9.01</t>
  </si>
  <si>
    <t>FEIJÓ</t>
  </si>
  <si>
    <t>UTE.PE.AC.034373-0.01</t>
  </si>
  <si>
    <t>TARAUACÁ</t>
  </si>
  <si>
    <t>TECNOGERA</t>
  </si>
  <si>
    <t>UTE.PE.AC.034375-7.01</t>
  </si>
  <si>
    <t>Assis Brasil - TECG</t>
  </si>
  <si>
    <t>UTE.PE.AC.034376-5.01</t>
  </si>
  <si>
    <t>Manoel Urbano - TECG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</si>
  <si>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</si>
  <si>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</si>
  <si>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</si>
  <si>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</si>
  <si>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</si>
  <si>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</si>
  <si>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</si>
  <si>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CUSTO TOTAL DA GERAÇÃO</t>
  </si>
  <si>
    <t>ENERGISA AC</t>
  </si>
  <si>
    <t>UFV.RS.AC.056592-0.01</t>
  </si>
  <si>
    <t>UFV Vila Restauração</t>
  </si>
  <si>
    <t>DESCONTO ACR MÉDIO</t>
  </si>
  <si>
    <t>DESCONTO FATOR DE CORTE</t>
  </si>
  <si>
    <t>SIGFI 45</t>
  </si>
  <si>
    <t>SIGFI 80</t>
  </si>
  <si>
    <t>UTE.PE.AC.051294-0.01</t>
  </si>
  <si>
    <t>CRUZEIRO DO SUL D</t>
  </si>
  <si>
    <t>UTE.PE.AC.051302-4.01</t>
  </si>
  <si>
    <t>FEIJÓ D</t>
  </si>
  <si>
    <t>UTE.PE.AC.051415-2.01</t>
  </si>
  <si>
    <t>TARAUACÁ D</t>
  </si>
  <si>
    <t>ENERGIAS DO ACRE</t>
  </si>
  <si>
    <t>competência:</t>
  </si>
  <si>
    <t>1 - combustível</t>
  </si>
  <si>
    <t>2 - geração Própria</t>
  </si>
  <si>
    <t>3 - contrato</t>
  </si>
  <si>
    <t>4 - frete</t>
  </si>
  <si>
    <t>beneficiário</t>
  </si>
  <si>
    <t>fornecedor</t>
  </si>
  <si>
    <t>usina</t>
  </si>
  <si>
    <t>geração 
(MWh)</t>
  </si>
  <si>
    <t>potência contratada (kW)</t>
  </si>
  <si>
    <t>valor de receita variável CCESI (R$)</t>
  </si>
  <si>
    <t>valor de receita fixa mensal CCESI (R$)</t>
  </si>
  <si>
    <t>valor de receita de venda CCESI (R$)</t>
  </si>
  <si>
    <t>valor unitário contrato (R$/MWh)</t>
  </si>
  <si>
    <t>valor NF bruto (R$)</t>
  </si>
  <si>
    <t>valor unitário NF (R$/MWh)</t>
  </si>
  <si>
    <t>valor considerado CCESI (R$)</t>
  </si>
  <si>
    <t>valor unitário bruto considerado (R$/MWh)</t>
  </si>
  <si>
    <t>valor unitário PIS/COFINS (R$/MWh)</t>
  </si>
  <si>
    <t>valor unitário líquido  considerado (R$/MWh)</t>
  </si>
  <si>
    <t>valor total PIS/COFINS (R$)</t>
  </si>
  <si>
    <t>custo líquido CCESI (R$)</t>
  </si>
  <si>
    <t>% não recuperado de
PIS/COFINS</t>
  </si>
  <si>
    <t>custo PIS / COFINS (R$)</t>
  </si>
  <si>
    <t>custo líquido (R$)</t>
  </si>
  <si>
    <t>custo total (R$)</t>
  </si>
  <si>
    <t>ajuste competência anterior</t>
  </si>
  <si>
    <t>reembolso mensal CCC - ENERGISA AC</t>
  </si>
  <si>
    <t>custo de O&amp;M - REN 801 (R$/MWh)</t>
  </si>
  <si>
    <t>custo de O&amp;M atualizado (R$/MWh)</t>
  </si>
  <si>
    <t>modelo</t>
  </si>
  <si>
    <t>potência por unidade (MW)</t>
  </si>
  <si>
    <t>n° de sistemas</t>
  </si>
  <si>
    <t>potência (disponib.) [MWh]/mês</t>
  </si>
  <si>
    <t>custo O&amp;M unitário [R$/MW.h]</t>
  </si>
  <si>
    <t>custo total O&amp;M [R$]</t>
  </si>
  <si>
    <t>SIGFI 160</t>
  </si>
  <si>
    <t>desconto (ajuste do mês + penalidade)</t>
  </si>
  <si>
    <t>REEMBOLSO PRELIMINAR BBF DESPACHO N°916/2024</t>
  </si>
  <si>
    <t>IPCA base (09/2025)</t>
  </si>
  <si>
    <t xml:space="preserve">IPCA atualizado </t>
  </si>
  <si>
    <t>Custo anual de manutenção (CAM)</t>
  </si>
  <si>
    <t>IPCA base (01/2015)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</si>
</sst>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.000_-;\-* #,##0.000_-;_-* &quot;-&quot;??_-;_-@_-"/>
    <numFmt numFmtId="167" formatCode="#,##0.000"/>
    <numFmt numFmtId="168" formatCode="_-* #,##0_-;\-* #,##0_-;_-* &quot;-&quot;??_-;_-@_-"/>
    <numFmt numFmtId="169" formatCode="_-* #,##0.0_-;\-* #,##0.0_-;_-* &quot;-&quot;??_-;_-@_-"/>
    <numFmt numFmtId="170" formatCode="#,##0.0000000"/>
  </numFmts>
  <fonts count="11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43" fontId="0" fillId="0" borderId="0" xfId="0" applyNumberFormat="1"/>
    <xf numFmtId="170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7" fontId="9" fillId="0" borderId="0" xfId="0" applyNumberFormat="1" applyFont="1"/>
    <xf numFmtId="4" fontId="6" fillId="0" borderId="0" xfId="1" applyNumberFormat="1" applyFont="1" applyAlignment="1">
      <alignment vertical="center"/>
    </xf>
    <xf numFmtId="4" fontId="9" fillId="0" borderId="0" xfId="1" applyNumberFormat="1" applyFont="1" applyAlignment="1">
      <alignment vertical="center"/>
    </xf>
    <xf numFmtId="3" fontId="9" fillId="0" borderId="0" xfId="0" applyNumberFormat="1" applyFont="1"/>
    <xf numFmtId="4" fontId="9" fillId="0" borderId="0" xfId="0" applyNumberFormat="1" applyFont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left" vertical="center"/>
    </xf>
    <xf numFmtId="43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8" fontId="0" fillId="0" borderId="1" xfId="4" applyNumberFormat="1" applyFont="1" applyBorder="1" applyAlignment="1">
      <alignment horizontal="left" vertical="center"/>
    </xf>
    <xf numFmtId="169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9" fillId="0" borderId="0" xfId="4" applyFont="1" applyAlignment="1">
      <alignment vertical="center"/>
    </xf>
    <xf numFmtId="43" fontId="0" fillId="0" borderId="0" xfId="4" applyFont="1"/>
    <xf numFmtId="3" fontId="9" fillId="0" borderId="0" xfId="0" applyNumberFormat="1" applyFont="1" applyAlignment="1">
      <alignment vertical="center"/>
    </xf>
  </cellXfs>
  <cellStyles count="5">
    <cellStyle name="Moeda 2" xfId="3" xr:uid="{00000000-0005-0000-0000-000000000000}"/>
    <cellStyle name="Normal" xfId="0" builtinId="0"/>
    <cellStyle name="Porcentagem" xfId="1" builtinId="5"/>
    <cellStyle name="Vírgula" xfId="4" builtinId="3"/>
    <cellStyle name="Vírgula 2" xfId="2" xr:uid="{00000000-0005-0000-0000-000003000000}"/>
  </cellStyles>
  <dxfs count="0"/>
  <tableStyles count="1" defaultTableStyle="TableStyleMedium2" defaultPivotStyle="PivotStyleLight16">
    <tableStyle name="Invisible" pivot="0" table="0" count="0" xr9:uid="{F64F8B8B-95C5-43FD-B481-30580F968FA4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1607820</xdr:colOff>
      <xdr:row>0</xdr:row>
      <xdr:rowOff>578738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DED11C01-FA0A-4A4D-9F06-2875A0FD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ED21762A-D5AD-4C93-A91E-537B3E04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E8E14FA3-CF87-4B92-974F-D6524D81A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AB10FF7F-DFBE-41D6-A788-7DE60DE0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tabSelected="1" topLeftCell="A7" zoomScaleNormal="100" workbookViewId="0">
      <selection activeCell="C18" sqref="C18"/>
    </sheetView>
  </sheetViews>
  <sheetFormatPr defaultColWidth="9.1640625" defaultRowHeight="19.5" customHeight="1"/>
  <cols>
    <col min="1" max="1" width="67" customWidth="1"/>
    <col min="2" max="2" width="15.6640625" customWidth="1"/>
    <col min="3" max="3" width="27.33203125" customWidth="1"/>
    <col min="4" max="4" width="14.83203125" customWidth="1"/>
    <col min="5" max="5" width="14.1640625" customWidth="1"/>
    <col min="6" max="6" width="11.1640625" customWidth="1"/>
  </cols>
  <sheetData>
    <row r="1" spans="1:6" ht="49.5" customHeight="1">
      <c r="C1" s="8" t="s">
        <v>75</v>
      </c>
    </row>
    <row r="2" spans="1:6" ht="19.5" customHeight="1">
      <c r="B2" s="9" t="s">
        <v>48</v>
      </c>
      <c r="C2" s="5">
        <v>46143</v>
      </c>
    </row>
    <row r="3" spans="1:6" ht="19.5" customHeight="1">
      <c r="B3" s="1"/>
      <c r="C3" s="5"/>
    </row>
    <row r="4" spans="1:6" ht="30" customHeight="1">
      <c r="A4" s="30" t="s">
        <v>33</v>
      </c>
      <c r="B4" s="31" t="s">
        <v>3</v>
      </c>
      <c r="C4" s="32">
        <f>SUM(C5:C8)</f>
        <v>17770849.124653999</v>
      </c>
      <c r="E4" s="6"/>
      <c r="F4" s="6"/>
    </row>
    <row r="5" spans="1:6" ht="19.5" customHeight="1">
      <c r="A5" s="26" t="s">
        <v>49</v>
      </c>
      <c r="B5" s="27" t="s">
        <v>3</v>
      </c>
      <c r="C5" s="28">
        <v>0</v>
      </c>
      <c r="E5" s="6"/>
      <c r="F5" s="6"/>
    </row>
    <row r="6" spans="1:6" ht="19.5" customHeight="1">
      <c r="A6" s="26" t="s">
        <v>50</v>
      </c>
      <c r="B6" s="27" t="s">
        <v>3</v>
      </c>
      <c r="C6" s="28">
        <f>MIGDI!$J$5+SIGFI!K7</f>
        <v>7405639.8948400002</v>
      </c>
      <c r="E6" s="6"/>
      <c r="F6" s="6"/>
    </row>
    <row r="7" spans="1:6" ht="19.5" customHeight="1">
      <c r="A7" s="26" t="s">
        <v>51</v>
      </c>
      <c r="B7" s="27" t="s">
        <v>3</v>
      </c>
      <c r="C7" s="28">
        <f>'CONTRATOS CCESI'!W17+'CONTRATOS CCESI'!V33</f>
        <v>10365209.229813999</v>
      </c>
      <c r="E7" s="6"/>
      <c r="F7" s="6"/>
    </row>
    <row r="8" spans="1:6" ht="19.5" customHeight="1">
      <c r="A8" s="26" t="s">
        <v>52</v>
      </c>
      <c r="B8" s="27" t="s">
        <v>3</v>
      </c>
      <c r="C8" s="28">
        <v>0</v>
      </c>
      <c r="F8" s="6"/>
    </row>
    <row r="9" spans="1:6" ht="19.5" customHeight="1">
      <c r="A9" s="26" t="s">
        <v>26</v>
      </c>
      <c r="B9" s="27" t="s">
        <v>27</v>
      </c>
      <c r="C9" s="28">
        <f>'CONTRATOS CCESI'!E17+MIGDI!D5+SIGFI!E7</f>
        <v>2815.7790800000002</v>
      </c>
      <c r="E9" s="6"/>
      <c r="F9" s="6"/>
    </row>
    <row r="10" spans="1:6" ht="19.5" customHeight="1">
      <c r="A10" s="26" t="s">
        <v>28</v>
      </c>
      <c r="B10" s="27" t="s">
        <v>3</v>
      </c>
      <c r="C10" s="28">
        <v>0</v>
      </c>
      <c r="F10" s="6"/>
    </row>
    <row r="11" spans="1:6" ht="19.5" customHeight="1">
      <c r="A11" s="26" t="s">
        <v>29</v>
      </c>
      <c r="B11" s="27" t="s">
        <v>30</v>
      </c>
      <c r="C11" s="28">
        <v>342.71</v>
      </c>
      <c r="E11" s="6"/>
      <c r="F11" s="6"/>
    </row>
    <row r="12" spans="1:6" ht="19.5" customHeight="1">
      <c r="A12" s="26" t="s">
        <v>31</v>
      </c>
      <c r="B12" s="27" t="s">
        <v>32</v>
      </c>
      <c r="C12" s="29">
        <v>1</v>
      </c>
      <c r="E12" s="6"/>
      <c r="F12" s="6"/>
    </row>
    <row r="13" spans="1:6" ht="19.5" customHeight="1">
      <c r="A13" s="23" t="s">
        <v>37</v>
      </c>
      <c r="B13" s="24" t="s">
        <v>3</v>
      </c>
      <c r="C13" s="25">
        <f>-ROUND(C9*C11,2)</f>
        <v>-964995.65</v>
      </c>
      <c r="E13" s="6"/>
      <c r="F13" s="6"/>
    </row>
    <row r="14" spans="1:6" ht="19.5" customHeight="1">
      <c r="A14" s="23" t="s">
        <v>38</v>
      </c>
      <c r="B14" s="24" t="s">
        <v>3</v>
      </c>
      <c r="C14" s="25">
        <f>+ROUND((C4+C13)*(C12-1),2)</f>
        <v>0</v>
      </c>
      <c r="E14" s="6"/>
      <c r="F14" s="6"/>
    </row>
    <row r="15" spans="1:6" ht="19.5" customHeight="1">
      <c r="A15" s="30" t="s">
        <v>0</v>
      </c>
      <c r="B15" s="31" t="s">
        <v>3</v>
      </c>
      <c r="C15" s="33">
        <f>ROUND(C4+C13+C14,2)</f>
        <v>16805853.469999999</v>
      </c>
      <c r="D15" s="48"/>
      <c r="E15" s="6"/>
      <c r="F15" s="6"/>
    </row>
    <row r="16" spans="1:6" ht="19.5" customHeight="1">
      <c r="A16" s="30" t="s">
        <v>1</v>
      </c>
      <c r="B16" s="31" t="s">
        <v>3</v>
      </c>
      <c r="C16" s="33">
        <v>0</v>
      </c>
      <c r="F16" s="6"/>
    </row>
    <row r="17" spans="1:6" ht="19.5" customHeight="1">
      <c r="A17" s="30" t="s">
        <v>86</v>
      </c>
      <c r="B17" s="31" t="s">
        <v>3</v>
      </c>
      <c r="C17" s="33">
        <v>10365209.23</v>
      </c>
      <c r="F17" s="6"/>
    </row>
    <row r="18" spans="1:6" ht="19.5" customHeight="1">
      <c r="A18" s="30" t="s">
        <v>2</v>
      </c>
      <c r="B18" s="31" t="s">
        <v>3</v>
      </c>
      <c r="C18" s="33">
        <f>C15-C16-C17</f>
        <v>6440644.2399999984</v>
      </c>
      <c r="D18" s="48"/>
      <c r="E18" s="6"/>
      <c r="F18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3"/>
  <sheetViews>
    <sheetView showGridLines="0" workbookViewId="0">
      <selection activeCell="D4" sqref="D4"/>
    </sheetView>
  </sheetViews>
  <sheetFormatPr defaultRowHeight="19.5" customHeight="1"/>
  <cols>
    <col min="1" max="1" width="23.6640625" customWidth="1"/>
    <col min="2" max="2" width="28.6640625" customWidth="1"/>
    <col min="3" max="3" width="26.6640625" customWidth="1"/>
    <col min="4" max="4" width="30.6640625" customWidth="1"/>
    <col min="5" max="22" width="16.6640625" customWidth="1"/>
    <col min="23" max="24" width="20.6640625" customWidth="1"/>
  </cols>
  <sheetData>
    <row r="1" spans="1:26" ht="49.5" customHeight="1">
      <c r="C1" s="10" t="str">
        <f>RESUMO!C1</f>
        <v>reembolso mensal CCC - ENERGISA AC</v>
      </c>
    </row>
    <row r="2" spans="1:26" ht="30" customHeight="1">
      <c r="C2" s="11" t="s">
        <v>48</v>
      </c>
      <c r="D2" s="5">
        <f>RESUMO!C2</f>
        <v>46143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6" ht="15.5">
      <c r="C3" s="3"/>
      <c r="D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s="4" customFormat="1" ht="60" customHeight="1">
      <c r="A4" s="34" t="s">
        <v>53</v>
      </c>
      <c r="B4" s="34" t="s">
        <v>54</v>
      </c>
      <c r="C4" s="34" t="s">
        <v>4</v>
      </c>
      <c r="D4" s="34" t="s">
        <v>55</v>
      </c>
      <c r="E4" s="34" t="s">
        <v>56</v>
      </c>
      <c r="F4" s="34" t="s">
        <v>57</v>
      </c>
      <c r="G4" s="34" t="s">
        <v>58</v>
      </c>
      <c r="H4" s="34" t="s">
        <v>59</v>
      </c>
      <c r="I4" s="34" t="s">
        <v>60</v>
      </c>
      <c r="J4" s="34" t="s">
        <v>61</v>
      </c>
      <c r="K4" s="34" t="s">
        <v>62</v>
      </c>
      <c r="L4" s="34" t="s">
        <v>63</v>
      </c>
      <c r="M4" s="34" t="s">
        <v>64</v>
      </c>
      <c r="N4" s="34" t="s">
        <v>65</v>
      </c>
      <c r="O4" s="35" t="s">
        <v>66</v>
      </c>
      <c r="P4" s="35" t="s">
        <v>67</v>
      </c>
      <c r="Q4" s="35" t="s">
        <v>68</v>
      </c>
      <c r="R4" s="35" t="s">
        <v>69</v>
      </c>
      <c r="S4" s="35" t="s">
        <v>70</v>
      </c>
      <c r="T4" s="35" t="s">
        <v>71</v>
      </c>
      <c r="U4" s="35" t="s">
        <v>72</v>
      </c>
      <c r="V4" s="35" t="s">
        <v>85</v>
      </c>
      <c r="W4" s="35" t="s">
        <v>73</v>
      </c>
      <c r="X4" s="2"/>
      <c r="Y4" s="2"/>
      <c r="Z4" s="2"/>
    </row>
    <row r="5" spans="1:26" s="4" customFormat="1" ht="20.149999999999999" customHeight="1">
      <c r="A5" s="27" t="s">
        <v>34</v>
      </c>
      <c r="B5" s="27" t="s">
        <v>5</v>
      </c>
      <c r="C5" s="27" t="s">
        <v>6</v>
      </c>
      <c r="D5" s="27" t="s">
        <v>7</v>
      </c>
      <c r="E5" s="36">
        <v>354.27168</v>
      </c>
      <c r="F5" s="37">
        <v>2044</v>
      </c>
      <c r="G5" s="38">
        <v>860415.1516470908</v>
      </c>
      <c r="H5" s="38">
        <v>1311172.7491019999</v>
      </c>
      <c r="I5" s="38">
        <f>SUM(G5:H5)</f>
        <v>2171587.9007490906</v>
      </c>
      <c r="J5" s="38">
        <f>IF(E5=0,0,I5/E5)</f>
        <v>6129.7247941158903</v>
      </c>
      <c r="K5" s="38">
        <v>2171088.9</v>
      </c>
      <c r="L5" s="38">
        <v>6128.3159224967721</v>
      </c>
      <c r="M5" s="38">
        <f t="shared" ref="M5" si="0">MIN(I5,K5)</f>
        <v>2171088.9</v>
      </c>
      <c r="N5" s="38">
        <f>ROUND(IF(E5=0,0,M5/E5),6)</f>
        <v>6128.3162679999996</v>
      </c>
      <c r="O5" s="39">
        <f>ROUND(N5*0.0925,6)</f>
        <v>566.86925499999995</v>
      </c>
      <c r="P5" s="39">
        <f>N5-O5</f>
        <v>5561.447013</v>
      </c>
      <c r="Q5" s="39">
        <f t="shared" ref="Q5" si="1">E5*O5</f>
        <v>200825.72330919839</v>
      </c>
      <c r="R5" s="39">
        <f t="shared" ref="R5:R16" si="2">IF(N5=0,ROUND(M5*(1-0.0925),6),ROUND(P5*E5,6))</f>
        <v>1970263.176526</v>
      </c>
      <c r="S5" s="40">
        <v>1</v>
      </c>
      <c r="T5" s="39">
        <f t="shared" ref="T5:T16" si="3">IF(N5=0,ROUND(M5*S5*0.0925,6),ROUND(Q5*S5,6))</f>
        <v>200825.72330899999</v>
      </c>
      <c r="U5" s="39">
        <f>R5</f>
        <v>1970263.176526</v>
      </c>
      <c r="V5" s="39">
        <v>-759.5</v>
      </c>
      <c r="W5" s="39">
        <f>SUM(T5:V5)</f>
        <v>2170329.3998349998</v>
      </c>
      <c r="X5" s="2"/>
      <c r="Y5" s="2"/>
      <c r="Z5" s="2"/>
    </row>
    <row r="6" spans="1:26" s="4" customFormat="1" ht="20.149999999999999" customHeight="1">
      <c r="A6" s="27" t="s">
        <v>34</v>
      </c>
      <c r="B6" s="27" t="s">
        <v>5</v>
      </c>
      <c r="C6" s="27" t="s">
        <v>8</v>
      </c>
      <c r="D6" s="27" t="s">
        <v>9</v>
      </c>
      <c r="E6" s="36">
        <v>764.99976000000004</v>
      </c>
      <c r="F6" s="37">
        <v>3754</v>
      </c>
      <c r="G6" s="38">
        <v>1772453.2533490597</v>
      </c>
      <c r="H6" s="38">
        <v>1661885.9734789999</v>
      </c>
      <c r="I6" s="38">
        <f t="shared" ref="I6:I16" si="4">SUM(G6:H6)</f>
        <v>3434339.2268280596</v>
      </c>
      <c r="J6" s="38">
        <f t="shared" ref="J6:J16" si="5">IF(E6=0,0,I6/E6)</f>
        <v>4489.3337310694833</v>
      </c>
      <c r="K6" s="38">
        <v>3433539.74</v>
      </c>
      <c r="L6" s="38">
        <v>4488.2884152388015</v>
      </c>
      <c r="M6" s="38">
        <f t="shared" ref="M6:M16" si="6">MIN(I6,K6)</f>
        <v>3433539.74</v>
      </c>
      <c r="N6" s="38">
        <f t="shared" ref="N6:N16" si="7">ROUND(IF(E6=0,0,M6/E6),6)</f>
        <v>4488.2886500000004</v>
      </c>
      <c r="O6" s="39">
        <f t="shared" ref="O6:O16" si="8">ROUND(N6*0.0925,6)</f>
        <v>415.16669999999999</v>
      </c>
      <c r="P6" s="39">
        <f t="shared" ref="P6:P16" si="9">N6-O6</f>
        <v>4073.1219500000007</v>
      </c>
      <c r="Q6" s="39">
        <f t="shared" ref="Q6:Q16" si="10">E6*O6</f>
        <v>317602.42585999198</v>
      </c>
      <c r="R6" s="39">
        <f t="shared" si="2"/>
        <v>3115937.3142010001</v>
      </c>
      <c r="S6" s="40">
        <v>1</v>
      </c>
      <c r="T6" s="39">
        <f t="shared" si="3"/>
        <v>317602.42586000002</v>
      </c>
      <c r="U6" s="39">
        <f t="shared" ref="U6:U16" si="11">R6</f>
        <v>3115937.3142010001</v>
      </c>
      <c r="V6" s="39">
        <v>-3227</v>
      </c>
      <c r="W6" s="39">
        <f t="shared" ref="W6:W16" si="12">SUM(T6:V6)</f>
        <v>3430312.740061</v>
      </c>
      <c r="X6" s="2"/>
      <c r="Y6" s="2"/>
      <c r="Z6" s="2"/>
    </row>
    <row r="7" spans="1:26" s="4" customFormat="1" ht="20.149999999999999" customHeight="1">
      <c r="A7" s="27" t="s">
        <v>34</v>
      </c>
      <c r="B7" s="27" t="s">
        <v>5</v>
      </c>
      <c r="C7" s="27" t="s">
        <v>10</v>
      </c>
      <c r="D7" s="27" t="s">
        <v>11</v>
      </c>
      <c r="E7" s="36">
        <v>644.71895999999992</v>
      </c>
      <c r="F7" s="37">
        <v>3691</v>
      </c>
      <c r="G7" s="38">
        <v>1470176.6945683085</v>
      </c>
      <c r="H7" s="38">
        <v>1333329.328917</v>
      </c>
      <c r="I7" s="38">
        <f t="shared" si="4"/>
        <v>2803506.0234853085</v>
      </c>
      <c r="J7" s="38">
        <f t="shared" si="5"/>
        <v>4348.4156623613317</v>
      </c>
      <c r="K7" s="38">
        <v>2802909.03</v>
      </c>
      <c r="L7" s="38">
        <v>4347.4894178704208</v>
      </c>
      <c r="M7" s="38">
        <f t="shared" si="6"/>
        <v>2802909.03</v>
      </c>
      <c r="N7" s="38">
        <f t="shared" si="7"/>
        <v>4347.4896879999997</v>
      </c>
      <c r="O7" s="39">
        <f t="shared" si="8"/>
        <v>402.14279599999998</v>
      </c>
      <c r="P7" s="39">
        <f t="shared" si="9"/>
        <v>3945.3468919999996</v>
      </c>
      <c r="Q7" s="39">
        <f t="shared" si="10"/>
        <v>259269.08520861212</v>
      </c>
      <c r="R7" s="39">
        <f t="shared" si="2"/>
        <v>2543639.945049</v>
      </c>
      <c r="S7" s="40">
        <v>1</v>
      </c>
      <c r="T7" s="39">
        <f t="shared" si="3"/>
        <v>259269.08520900001</v>
      </c>
      <c r="U7" s="39">
        <f t="shared" si="11"/>
        <v>2543639.945049</v>
      </c>
      <c r="V7" s="39">
        <v>-362.42</v>
      </c>
      <c r="W7" s="39">
        <f t="shared" si="12"/>
        <v>2802546.610258</v>
      </c>
      <c r="X7" s="2"/>
      <c r="Y7" s="2"/>
      <c r="Z7" s="2"/>
    </row>
    <row r="8" spans="1:26" s="4" customFormat="1" ht="20.149999999999999" customHeight="1">
      <c r="A8" s="27" t="s">
        <v>34</v>
      </c>
      <c r="B8" s="27" t="s">
        <v>5</v>
      </c>
      <c r="C8" s="27" t="s">
        <v>12</v>
      </c>
      <c r="D8" s="27" t="s">
        <v>13</v>
      </c>
      <c r="E8" s="36">
        <v>249.71268000000001</v>
      </c>
      <c r="F8" s="37">
        <v>2055</v>
      </c>
      <c r="G8" s="38">
        <v>593328.60075916839</v>
      </c>
      <c r="H8" s="38">
        <v>1013589.585951</v>
      </c>
      <c r="I8" s="38">
        <f t="shared" si="4"/>
        <v>1606918.1867101684</v>
      </c>
      <c r="J8" s="38">
        <f t="shared" si="5"/>
        <v>6435.0684423000403</v>
      </c>
      <c r="K8" s="38">
        <v>1606609.3</v>
      </c>
      <c r="L8" s="38">
        <v>6433.8309585375509</v>
      </c>
      <c r="M8" s="38">
        <f t="shared" si="6"/>
        <v>1606609.3</v>
      </c>
      <c r="N8" s="38">
        <f t="shared" si="7"/>
        <v>6433.8314739999996</v>
      </c>
      <c r="O8" s="39">
        <f t="shared" si="8"/>
        <v>595.129411</v>
      </c>
      <c r="P8" s="39">
        <f t="shared" si="9"/>
        <v>5838.7020629999997</v>
      </c>
      <c r="Q8" s="39">
        <f t="shared" si="10"/>
        <v>148611.36016763147</v>
      </c>
      <c r="R8" s="39">
        <f t="shared" si="2"/>
        <v>1457997.9398729999</v>
      </c>
      <c r="S8" s="40">
        <v>1</v>
      </c>
      <c r="T8" s="39">
        <f t="shared" si="3"/>
        <v>148611.36016800001</v>
      </c>
      <c r="U8" s="39">
        <f t="shared" si="11"/>
        <v>1457997.9398729999</v>
      </c>
      <c r="V8" s="39">
        <v>-1839.06</v>
      </c>
      <c r="W8" s="39">
        <f t="shared" si="12"/>
        <v>1604770.2400409998</v>
      </c>
      <c r="X8" s="2"/>
      <c r="Y8" s="2"/>
      <c r="Z8" s="2"/>
    </row>
    <row r="9" spans="1:26" s="4" customFormat="1" ht="20.149999999999999" customHeight="1">
      <c r="A9" s="27" t="s">
        <v>34</v>
      </c>
      <c r="B9" s="27" t="s">
        <v>14</v>
      </c>
      <c r="C9" s="27" t="s">
        <v>15</v>
      </c>
      <c r="D9" s="27" t="s">
        <v>16</v>
      </c>
      <c r="E9" s="36">
        <v>0</v>
      </c>
      <c r="F9" s="37">
        <v>30060</v>
      </c>
      <c r="G9" s="38">
        <v>0</v>
      </c>
      <c r="H9" s="38">
        <v>0</v>
      </c>
      <c r="I9" s="38">
        <f t="shared" si="4"/>
        <v>0</v>
      </c>
      <c r="J9" s="38">
        <f t="shared" si="5"/>
        <v>0</v>
      </c>
      <c r="K9" s="38">
        <v>0</v>
      </c>
      <c r="L9" s="38">
        <v>0</v>
      </c>
      <c r="M9" s="38">
        <f t="shared" si="6"/>
        <v>0</v>
      </c>
      <c r="N9" s="38">
        <f t="shared" si="7"/>
        <v>0</v>
      </c>
      <c r="O9" s="39">
        <f t="shared" si="8"/>
        <v>0</v>
      </c>
      <c r="P9" s="39">
        <f t="shared" si="9"/>
        <v>0</v>
      </c>
      <c r="Q9" s="39">
        <f t="shared" si="10"/>
        <v>0</v>
      </c>
      <c r="R9" s="39">
        <f t="shared" si="2"/>
        <v>0</v>
      </c>
      <c r="S9" s="40">
        <v>1</v>
      </c>
      <c r="T9" s="39">
        <f t="shared" si="3"/>
        <v>0</v>
      </c>
      <c r="U9" s="39">
        <f t="shared" si="11"/>
        <v>0</v>
      </c>
      <c r="V9" s="39">
        <v>0</v>
      </c>
      <c r="W9" s="39">
        <f t="shared" si="12"/>
        <v>0</v>
      </c>
      <c r="X9" s="2"/>
      <c r="Y9" s="2"/>
      <c r="Z9" s="2"/>
    </row>
    <row r="10" spans="1:26" s="4" customFormat="1" ht="20.149999999999999" customHeight="1">
      <c r="A10" s="27" t="s">
        <v>34</v>
      </c>
      <c r="B10" s="27" t="s">
        <v>14</v>
      </c>
      <c r="C10" s="27" t="s">
        <v>17</v>
      </c>
      <c r="D10" s="27" t="s">
        <v>18</v>
      </c>
      <c r="E10" s="36">
        <v>0</v>
      </c>
      <c r="F10" s="37">
        <v>6250</v>
      </c>
      <c r="G10" s="38">
        <v>0</v>
      </c>
      <c r="H10" s="38">
        <v>0</v>
      </c>
      <c r="I10" s="38">
        <f t="shared" si="4"/>
        <v>0</v>
      </c>
      <c r="J10" s="38">
        <f t="shared" si="5"/>
        <v>0</v>
      </c>
      <c r="K10" s="38">
        <v>0</v>
      </c>
      <c r="L10" s="38">
        <v>0</v>
      </c>
      <c r="M10" s="38">
        <f t="shared" si="6"/>
        <v>0</v>
      </c>
      <c r="N10" s="38">
        <f t="shared" si="7"/>
        <v>0</v>
      </c>
      <c r="O10" s="39">
        <f t="shared" si="8"/>
        <v>0</v>
      </c>
      <c r="P10" s="39">
        <f t="shared" si="9"/>
        <v>0</v>
      </c>
      <c r="Q10" s="39">
        <f t="shared" si="10"/>
        <v>0</v>
      </c>
      <c r="R10" s="39">
        <f t="shared" si="2"/>
        <v>0</v>
      </c>
      <c r="S10" s="40">
        <v>1</v>
      </c>
      <c r="T10" s="39">
        <f t="shared" si="3"/>
        <v>0</v>
      </c>
      <c r="U10" s="39">
        <f t="shared" si="11"/>
        <v>0</v>
      </c>
      <c r="V10" s="39">
        <v>0</v>
      </c>
      <c r="W10" s="39">
        <f t="shared" si="12"/>
        <v>0</v>
      </c>
      <c r="X10" s="2"/>
      <c r="Y10" s="2"/>
      <c r="Z10" s="2"/>
    </row>
    <row r="11" spans="1:26" s="4" customFormat="1" ht="20.149999999999999" customHeight="1">
      <c r="A11" s="27" t="s">
        <v>34</v>
      </c>
      <c r="B11" s="27" t="s">
        <v>14</v>
      </c>
      <c r="C11" s="27" t="s">
        <v>19</v>
      </c>
      <c r="D11" s="27" t="s">
        <v>20</v>
      </c>
      <c r="E11" s="36">
        <v>0</v>
      </c>
      <c r="F11" s="37">
        <v>8090</v>
      </c>
      <c r="G11" s="38">
        <v>0</v>
      </c>
      <c r="H11" s="38">
        <v>0</v>
      </c>
      <c r="I11" s="38">
        <f t="shared" si="4"/>
        <v>0</v>
      </c>
      <c r="J11" s="38">
        <f t="shared" si="5"/>
        <v>0</v>
      </c>
      <c r="K11" s="38">
        <v>0</v>
      </c>
      <c r="L11" s="38">
        <v>0</v>
      </c>
      <c r="M11" s="38">
        <f t="shared" si="6"/>
        <v>0</v>
      </c>
      <c r="N11" s="38">
        <f t="shared" si="7"/>
        <v>0</v>
      </c>
      <c r="O11" s="39">
        <f t="shared" si="8"/>
        <v>0</v>
      </c>
      <c r="P11" s="39">
        <f t="shared" si="9"/>
        <v>0</v>
      </c>
      <c r="Q11" s="39">
        <f t="shared" si="10"/>
        <v>0</v>
      </c>
      <c r="R11" s="39">
        <f t="shared" si="2"/>
        <v>0</v>
      </c>
      <c r="S11" s="40">
        <v>1</v>
      </c>
      <c r="T11" s="39">
        <f t="shared" si="3"/>
        <v>0</v>
      </c>
      <c r="U11" s="39">
        <f t="shared" si="11"/>
        <v>0</v>
      </c>
      <c r="V11" s="39">
        <v>0</v>
      </c>
      <c r="W11" s="39">
        <f t="shared" si="12"/>
        <v>0</v>
      </c>
      <c r="X11" s="2"/>
      <c r="Y11" s="2"/>
      <c r="Z11" s="2"/>
    </row>
    <row r="12" spans="1:26" s="4" customFormat="1" ht="20.149999999999999" customHeight="1">
      <c r="A12" s="27" t="s">
        <v>34</v>
      </c>
      <c r="B12" s="27" t="s">
        <v>47</v>
      </c>
      <c r="C12" s="27" t="s">
        <v>41</v>
      </c>
      <c r="D12" s="27" t="s">
        <v>42</v>
      </c>
      <c r="E12" s="36">
        <v>0</v>
      </c>
      <c r="F12" s="37">
        <v>52880</v>
      </c>
      <c r="G12" s="38">
        <v>0</v>
      </c>
      <c r="H12" s="38">
        <v>886552.21342499997</v>
      </c>
      <c r="I12" s="38">
        <f t="shared" ref="I12:I14" si="13">SUM(G12:H12)</f>
        <v>886552.21342499997</v>
      </c>
      <c r="J12" s="38">
        <f t="shared" ref="J12:J14" si="14">IF(E12=0,0,I12/E12)</f>
        <v>0</v>
      </c>
      <c r="K12" s="38">
        <v>0</v>
      </c>
      <c r="L12" s="38">
        <v>0</v>
      </c>
      <c r="M12" s="38">
        <f t="shared" ref="M12:M14" si="15">MIN(I12,K12)</f>
        <v>0</v>
      </c>
      <c r="N12" s="38">
        <f t="shared" ref="N12:N14" si="16">ROUND(IF(E12=0,0,M12/E12),6)</f>
        <v>0</v>
      </c>
      <c r="O12" s="39">
        <f t="shared" ref="O12:O14" si="17">ROUND(N12*0.0925,6)</f>
        <v>0</v>
      </c>
      <c r="P12" s="39">
        <f t="shared" ref="P12:P14" si="18">N12-O12</f>
        <v>0</v>
      </c>
      <c r="Q12" s="39">
        <f t="shared" ref="Q12:Q14" si="19">E12*O12</f>
        <v>0</v>
      </c>
      <c r="R12" s="39">
        <f t="shared" si="2"/>
        <v>0</v>
      </c>
      <c r="S12" s="40">
        <v>1</v>
      </c>
      <c r="T12" s="39">
        <f t="shared" si="3"/>
        <v>0</v>
      </c>
      <c r="U12" s="39">
        <f t="shared" ref="U12:U14" si="20">R12</f>
        <v>0</v>
      </c>
      <c r="V12" s="39">
        <v>0</v>
      </c>
      <c r="W12" s="39">
        <f t="shared" si="12"/>
        <v>0</v>
      </c>
      <c r="X12" s="2"/>
      <c r="Y12" s="2"/>
      <c r="Z12" s="2"/>
    </row>
    <row r="13" spans="1:26" s="4" customFormat="1" ht="20.149999999999999" customHeight="1">
      <c r="A13" s="27" t="s">
        <v>34</v>
      </c>
      <c r="B13" s="27" t="s">
        <v>47</v>
      </c>
      <c r="C13" s="27" t="s">
        <v>43</v>
      </c>
      <c r="D13" s="27" t="s">
        <v>44</v>
      </c>
      <c r="E13" s="36">
        <v>0</v>
      </c>
      <c r="F13" s="37">
        <v>7163</v>
      </c>
      <c r="G13" s="38">
        <v>0</v>
      </c>
      <c r="H13" s="38">
        <v>114855.301452</v>
      </c>
      <c r="I13" s="38">
        <f t="shared" si="13"/>
        <v>114855.301452</v>
      </c>
      <c r="J13" s="38">
        <f t="shared" si="14"/>
        <v>0</v>
      </c>
      <c r="K13" s="38">
        <v>0</v>
      </c>
      <c r="L13" s="38">
        <v>0</v>
      </c>
      <c r="M13" s="38">
        <f t="shared" si="15"/>
        <v>0</v>
      </c>
      <c r="N13" s="38">
        <f t="shared" si="16"/>
        <v>0</v>
      </c>
      <c r="O13" s="39">
        <f t="shared" si="17"/>
        <v>0</v>
      </c>
      <c r="P13" s="39">
        <f t="shared" si="18"/>
        <v>0</v>
      </c>
      <c r="Q13" s="39">
        <f t="shared" si="19"/>
        <v>0</v>
      </c>
      <c r="R13" s="39">
        <f t="shared" si="2"/>
        <v>0</v>
      </c>
      <c r="S13" s="40">
        <v>1</v>
      </c>
      <c r="T13" s="39">
        <f t="shared" si="3"/>
        <v>0</v>
      </c>
      <c r="U13" s="39">
        <f t="shared" si="20"/>
        <v>0</v>
      </c>
      <c r="V13" s="39">
        <v>0</v>
      </c>
      <c r="W13" s="39">
        <f t="shared" si="12"/>
        <v>0</v>
      </c>
      <c r="X13" s="2"/>
      <c r="Y13" s="2"/>
      <c r="Z13" s="2"/>
    </row>
    <row r="14" spans="1:26" s="4" customFormat="1" ht="20.149999999999999" customHeight="1">
      <c r="A14" s="27" t="s">
        <v>34</v>
      </c>
      <c r="B14" s="27" t="s">
        <v>47</v>
      </c>
      <c r="C14" s="27" t="s">
        <v>45</v>
      </c>
      <c r="D14" s="27" t="s">
        <v>46</v>
      </c>
      <c r="E14" s="36">
        <v>0</v>
      </c>
      <c r="F14" s="37">
        <v>9423</v>
      </c>
      <c r="G14" s="38">
        <v>0</v>
      </c>
      <c r="H14" s="38">
        <v>155395.15476199999</v>
      </c>
      <c r="I14" s="38">
        <f t="shared" si="13"/>
        <v>155395.15476199999</v>
      </c>
      <c r="J14" s="38">
        <f t="shared" si="14"/>
        <v>0</v>
      </c>
      <c r="K14" s="38">
        <v>0</v>
      </c>
      <c r="L14" s="38">
        <v>0</v>
      </c>
      <c r="M14" s="38">
        <f t="shared" si="15"/>
        <v>0</v>
      </c>
      <c r="N14" s="38">
        <f t="shared" si="16"/>
        <v>0</v>
      </c>
      <c r="O14" s="39">
        <f t="shared" si="17"/>
        <v>0</v>
      </c>
      <c r="P14" s="39">
        <f t="shared" si="18"/>
        <v>0</v>
      </c>
      <c r="Q14" s="39">
        <f t="shared" si="19"/>
        <v>0</v>
      </c>
      <c r="R14" s="39">
        <f>IF(N14=0,ROUND(M14*(1-0.0925),6),ROUND(P14*E14,6))</f>
        <v>0</v>
      </c>
      <c r="S14" s="40">
        <v>1</v>
      </c>
      <c r="T14" s="39">
        <f>IF(N14=0,ROUND(M14*S14*0.0925,6),ROUND(Q14*S14,6))</f>
        <v>0</v>
      </c>
      <c r="U14" s="39">
        <f t="shared" si="20"/>
        <v>0</v>
      </c>
      <c r="V14" s="39">
        <v>0</v>
      </c>
      <c r="W14" s="39">
        <f t="shared" si="12"/>
        <v>0</v>
      </c>
      <c r="X14" s="2"/>
      <c r="Y14" s="2"/>
      <c r="Z14" s="2"/>
    </row>
    <row r="15" spans="1:26" s="4" customFormat="1" ht="20.149999999999999" customHeight="1">
      <c r="A15" s="27" t="s">
        <v>34</v>
      </c>
      <c r="B15" s="27" t="s">
        <v>21</v>
      </c>
      <c r="C15" s="27" t="s">
        <v>22</v>
      </c>
      <c r="D15" s="27" t="s">
        <v>23</v>
      </c>
      <c r="E15" s="36">
        <v>0</v>
      </c>
      <c r="F15" s="37">
        <v>0</v>
      </c>
      <c r="G15" s="38">
        <v>0</v>
      </c>
      <c r="H15" s="38">
        <v>0</v>
      </c>
      <c r="I15" s="38">
        <f t="shared" si="4"/>
        <v>0</v>
      </c>
      <c r="J15" s="38">
        <f t="shared" si="5"/>
        <v>0</v>
      </c>
      <c r="K15" s="38">
        <v>0</v>
      </c>
      <c r="L15" s="38">
        <v>0</v>
      </c>
      <c r="M15" s="38">
        <f t="shared" si="6"/>
        <v>0</v>
      </c>
      <c r="N15" s="38">
        <f t="shared" si="7"/>
        <v>0</v>
      </c>
      <c r="O15" s="39">
        <f t="shared" si="8"/>
        <v>0</v>
      </c>
      <c r="P15" s="39">
        <f t="shared" si="9"/>
        <v>0</v>
      </c>
      <c r="Q15" s="39">
        <f t="shared" si="10"/>
        <v>0</v>
      </c>
      <c r="R15" s="39">
        <f t="shared" si="2"/>
        <v>0</v>
      </c>
      <c r="S15" s="40">
        <v>1</v>
      </c>
      <c r="T15" s="39">
        <f t="shared" si="3"/>
        <v>0</v>
      </c>
      <c r="U15" s="39">
        <f t="shared" si="11"/>
        <v>0</v>
      </c>
      <c r="V15" s="39">
        <v>0</v>
      </c>
      <c r="W15" s="39">
        <f t="shared" si="12"/>
        <v>0</v>
      </c>
      <c r="X15" s="2"/>
      <c r="Y15" s="2"/>
      <c r="Z15" s="2"/>
    </row>
    <row r="16" spans="1:26" s="4" customFormat="1" ht="20.149999999999999" customHeight="1">
      <c r="A16" s="27" t="s">
        <v>34</v>
      </c>
      <c r="B16" s="27" t="s">
        <v>21</v>
      </c>
      <c r="C16" s="27" t="s">
        <v>24</v>
      </c>
      <c r="D16" s="27" t="s">
        <v>25</v>
      </c>
      <c r="E16" s="36">
        <v>0</v>
      </c>
      <c r="F16" s="37">
        <v>0</v>
      </c>
      <c r="G16" s="38">
        <v>0</v>
      </c>
      <c r="H16" s="38">
        <v>0</v>
      </c>
      <c r="I16" s="38">
        <f t="shared" si="4"/>
        <v>0</v>
      </c>
      <c r="J16" s="38">
        <f t="shared" si="5"/>
        <v>0</v>
      </c>
      <c r="K16" s="38">
        <v>0</v>
      </c>
      <c r="L16" s="38">
        <v>0</v>
      </c>
      <c r="M16" s="38">
        <f t="shared" si="6"/>
        <v>0</v>
      </c>
      <c r="N16" s="38">
        <f t="shared" si="7"/>
        <v>0</v>
      </c>
      <c r="O16" s="39">
        <f t="shared" si="8"/>
        <v>0</v>
      </c>
      <c r="P16" s="39">
        <f t="shared" si="9"/>
        <v>0</v>
      </c>
      <c r="Q16" s="39">
        <f t="shared" si="10"/>
        <v>0</v>
      </c>
      <c r="R16" s="39">
        <f t="shared" si="2"/>
        <v>0</v>
      </c>
      <c r="S16" s="40">
        <v>1</v>
      </c>
      <c r="T16" s="39">
        <f t="shared" si="3"/>
        <v>0</v>
      </c>
      <c r="U16" s="39">
        <f t="shared" si="11"/>
        <v>0</v>
      </c>
      <c r="V16" s="39">
        <v>0</v>
      </c>
      <c r="W16" s="39">
        <f t="shared" si="12"/>
        <v>0</v>
      </c>
      <c r="X16" s="2"/>
      <c r="Y16" s="2"/>
      <c r="Z16" s="2"/>
    </row>
    <row r="17" spans="1:25" s="13" customFormat="1" ht="19.5" customHeight="1">
      <c r="E17" s="14">
        <f>SUM(E5:E16)</f>
        <v>2013.70308</v>
      </c>
      <c r="I17" s="15"/>
      <c r="K17" s="14">
        <f>SUM(K5:K16)</f>
        <v>10014146.970000001</v>
      </c>
      <c r="W17" s="16">
        <f>SUM(W5:W16)</f>
        <v>10007958.990194999</v>
      </c>
    </row>
    <row r="19" spans="1:25" ht="19.5" customHeight="1">
      <c r="A19" s="12" t="s">
        <v>74</v>
      </c>
    </row>
    <row r="20" spans="1:25" s="4" customFormat="1" ht="60" customHeight="1">
      <c r="A20" s="34" t="s">
        <v>53</v>
      </c>
      <c r="B20" s="34" t="s">
        <v>54</v>
      </c>
      <c r="C20" s="34" t="s">
        <v>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L20" s="34" t="s">
        <v>63</v>
      </c>
      <c r="M20" s="34" t="s">
        <v>64</v>
      </c>
      <c r="N20" s="34" t="s">
        <v>65</v>
      </c>
      <c r="O20" s="35" t="s">
        <v>66</v>
      </c>
      <c r="P20" s="35" t="s">
        <v>67</v>
      </c>
      <c r="Q20" s="35" t="s">
        <v>68</v>
      </c>
      <c r="R20" s="35" t="s">
        <v>69</v>
      </c>
      <c r="S20" s="35" t="s">
        <v>70</v>
      </c>
      <c r="T20" s="35" t="s">
        <v>71</v>
      </c>
      <c r="U20" s="35" t="s">
        <v>72</v>
      </c>
      <c r="V20" s="35" t="s">
        <v>73</v>
      </c>
      <c r="W20" s="2"/>
      <c r="X20" s="2"/>
      <c r="Y20" s="2"/>
    </row>
    <row r="21" spans="1:25" s="4" customFormat="1" ht="20.149999999999999" customHeight="1">
      <c r="A21" s="27" t="s">
        <v>34</v>
      </c>
      <c r="B21" s="27" t="s">
        <v>5</v>
      </c>
      <c r="C21" s="27" t="s">
        <v>6</v>
      </c>
      <c r="D21" s="27" t="s">
        <v>7</v>
      </c>
      <c r="E21" s="37">
        <v>347.23248000000001</v>
      </c>
      <c r="F21" s="37">
        <v>2044</v>
      </c>
      <c r="G21" s="41"/>
      <c r="H21" s="41"/>
      <c r="I21" s="41"/>
      <c r="J21" s="42"/>
      <c r="K21" s="38">
        <v>60892.52</v>
      </c>
      <c r="L21" s="38">
        <v>0</v>
      </c>
      <c r="M21" s="38">
        <f>K21</f>
        <v>60892.52</v>
      </c>
      <c r="N21" s="38">
        <f>ROUND(IF(E21=0,0,M21/E21),6)</f>
        <v>175.36527699999999</v>
      </c>
      <c r="O21" s="39">
        <f>ROUND(N21*0.0925,6)</f>
        <v>16.221288000000001</v>
      </c>
      <c r="P21" s="39">
        <f t="shared" ref="P21" si="21">N21-O21</f>
        <v>159.14398899999998</v>
      </c>
      <c r="Q21" s="39">
        <f>E21*O21</f>
        <v>5632.5580610342404</v>
      </c>
      <c r="R21" s="39">
        <f>ROUND(E21*P21,12)</f>
        <v>55259.9619775627</v>
      </c>
      <c r="S21" s="40">
        <v>1</v>
      </c>
      <c r="T21" s="39">
        <f t="shared" ref="T21" si="22">ROUND(Q21*S21,6)</f>
        <v>5632.5580609999997</v>
      </c>
      <c r="U21" s="39">
        <f t="shared" ref="U21" si="23">R21</f>
        <v>55259.9619775627</v>
      </c>
      <c r="V21" s="39">
        <f>ROUND(SUM(T21:U21),6)</f>
        <v>60892.520039000003</v>
      </c>
      <c r="W21" s="7"/>
      <c r="X21" s="2"/>
      <c r="Y21" s="2"/>
    </row>
    <row r="22" spans="1:25" s="4" customFormat="1" ht="20.149999999999999" customHeight="1">
      <c r="A22" s="27" t="s">
        <v>34</v>
      </c>
      <c r="B22" s="27" t="s">
        <v>5</v>
      </c>
      <c r="C22" s="27" t="s">
        <v>8</v>
      </c>
      <c r="D22" s="27" t="s">
        <v>9</v>
      </c>
      <c r="E22" s="37">
        <v>771.58283999999992</v>
      </c>
      <c r="F22" s="37">
        <v>3754</v>
      </c>
      <c r="G22" s="41"/>
      <c r="H22" s="41"/>
      <c r="I22" s="41"/>
      <c r="J22" s="42"/>
      <c r="K22" s="38">
        <v>135309.04999999999</v>
      </c>
      <c r="L22" s="38">
        <v>0</v>
      </c>
      <c r="M22" s="38">
        <f t="shared" ref="M22:M32" si="24">K22</f>
        <v>135309.04999999999</v>
      </c>
      <c r="N22" s="38">
        <f t="shared" ref="N22:N32" si="25">ROUND(IF(E22=0,0,M22/E22),6)</f>
        <v>175.36555100000001</v>
      </c>
      <c r="O22" s="39">
        <f t="shared" ref="O22:O32" si="26">ROUND(N22*0.0925,6)</f>
        <v>16.221312999999999</v>
      </c>
      <c r="P22" s="39">
        <f t="shared" ref="P22:P32" si="27">N22-O22</f>
        <v>159.144238</v>
      </c>
      <c r="Q22" s="39">
        <f t="shared" ref="Q22:Q32" si="28">E22*O22</f>
        <v>12516.086753068917</v>
      </c>
      <c r="R22" s="39">
        <f t="shared" ref="R22:R32" si="29">ROUND(E22*P22,6)</f>
        <v>122792.963126</v>
      </c>
      <c r="S22" s="40">
        <v>1</v>
      </c>
      <c r="T22" s="39">
        <f t="shared" ref="T22:T32" si="30">ROUND(Q22*S22,6)</f>
        <v>12516.086753</v>
      </c>
      <c r="U22" s="39">
        <f t="shared" ref="U22:U32" si="31">R22</f>
        <v>122792.963126</v>
      </c>
      <c r="V22" s="39">
        <f t="shared" ref="V22:V32" si="32">ROUND(SUM(T22:U22),6)</f>
        <v>135309.049879</v>
      </c>
      <c r="W22" s="2"/>
      <c r="X22" s="2"/>
      <c r="Y22" s="2"/>
    </row>
    <row r="23" spans="1:25" s="4" customFormat="1" ht="20.149999999999999" customHeight="1">
      <c r="A23" s="27" t="s">
        <v>34</v>
      </c>
      <c r="B23" s="27" t="s">
        <v>5</v>
      </c>
      <c r="C23" s="27" t="s">
        <v>10</v>
      </c>
      <c r="D23" s="27" t="s">
        <v>11</v>
      </c>
      <c r="E23" s="37">
        <v>654.06312000000003</v>
      </c>
      <c r="F23" s="37">
        <v>3691</v>
      </c>
      <c r="G23" s="41"/>
      <c r="H23" s="41"/>
      <c r="I23" s="41"/>
      <c r="J23" s="42"/>
      <c r="K23" s="38">
        <v>114700.09</v>
      </c>
      <c r="L23" s="38">
        <v>0</v>
      </c>
      <c r="M23" s="38">
        <f t="shared" si="24"/>
        <v>114700.09</v>
      </c>
      <c r="N23" s="38">
        <f t="shared" si="25"/>
        <v>175.365475</v>
      </c>
      <c r="O23" s="39">
        <f t="shared" si="26"/>
        <v>16.221305999999998</v>
      </c>
      <c r="P23" s="39">
        <f t="shared" si="27"/>
        <v>159.14416900000001</v>
      </c>
      <c r="Q23" s="39">
        <f t="shared" si="28"/>
        <v>10609.75801283472</v>
      </c>
      <c r="R23" s="39">
        <f t="shared" si="29"/>
        <v>104090.331706</v>
      </c>
      <c r="S23" s="40">
        <v>1</v>
      </c>
      <c r="T23" s="39">
        <f t="shared" si="30"/>
        <v>10609.758013000001</v>
      </c>
      <c r="U23" s="39">
        <f t="shared" si="31"/>
        <v>104090.331706</v>
      </c>
      <c r="V23" s="39">
        <f t="shared" si="32"/>
        <v>114700.089719</v>
      </c>
      <c r="W23" s="2"/>
      <c r="X23" s="2"/>
      <c r="Y23" s="2"/>
    </row>
    <row r="24" spans="1:25" s="4" customFormat="1" ht="20.149999999999999" customHeight="1">
      <c r="A24" s="27" t="s">
        <v>34</v>
      </c>
      <c r="B24" s="27" t="s">
        <v>5</v>
      </c>
      <c r="C24" s="27" t="s">
        <v>12</v>
      </c>
      <c r="D24" s="27" t="s">
        <v>13</v>
      </c>
      <c r="E24" s="37">
        <v>264.29676000000001</v>
      </c>
      <c r="F24" s="37">
        <v>2055</v>
      </c>
      <c r="G24" s="41"/>
      <c r="H24" s="41"/>
      <c r="I24" s="41"/>
      <c r="J24" s="42"/>
      <c r="K24" s="38">
        <v>46348.58</v>
      </c>
      <c r="L24" s="38">
        <v>0</v>
      </c>
      <c r="M24" s="38">
        <f t="shared" si="24"/>
        <v>46348.58</v>
      </c>
      <c r="N24" s="38">
        <f t="shared" si="25"/>
        <v>175.36567600000001</v>
      </c>
      <c r="O24" s="39">
        <f t="shared" si="26"/>
        <v>16.221325</v>
      </c>
      <c r="P24" s="39">
        <f t="shared" si="27"/>
        <v>159.144351</v>
      </c>
      <c r="Q24" s="39">
        <f t="shared" si="28"/>
        <v>4287.2436404070004</v>
      </c>
      <c r="R24" s="39">
        <f t="shared" si="29"/>
        <v>42061.336342000002</v>
      </c>
      <c r="S24" s="40">
        <v>1</v>
      </c>
      <c r="T24" s="39">
        <f t="shared" si="30"/>
        <v>4287.2436399999997</v>
      </c>
      <c r="U24" s="39">
        <f t="shared" si="31"/>
        <v>42061.336342000002</v>
      </c>
      <c r="V24" s="39">
        <f t="shared" si="32"/>
        <v>46348.579982000003</v>
      </c>
      <c r="W24" s="2"/>
      <c r="X24" s="2"/>
      <c r="Y24" s="2"/>
    </row>
    <row r="25" spans="1:25" s="4" customFormat="1" ht="20.149999999999999" customHeight="1">
      <c r="A25" s="27" t="s">
        <v>34</v>
      </c>
      <c r="B25" s="27" t="s">
        <v>14</v>
      </c>
      <c r="C25" s="27" t="s">
        <v>15</v>
      </c>
      <c r="D25" s="27" t="s">
        <v>16</v>
      </c>
      <c r="E25" s="37">
        <v>0</v>
      </c>
      <c r="F25" s="37">
        <v>30060</v>
      </c>
      <c r="G25" s="41"/>
      <c r="H25" s="41"/>
      <c r="I25" s="41"/>
      <c r="J25" s="42"/>
      <c r="K25" s="38">
        <v>0</v>
      </c>
      <c r="L25" s="38">
        <v>0</v>
      </c>
      <c r="M25" s="38">
        <f t="shared" si="24"/>
        <v>0</v>
      </c>
      <c r="N25" s="38">
        <f t="shared" si="25"/>
        <v>0</v>
      </c>
      <c r="O25" s="39">
        <f t="shared" si="26"/>
        <v>0</v>
      </c>
      <c r="P25" s="39">
        <f t="shared" si="27"/>
        <v>0</v>
      </c>
      <c r="Q25" s="39">
        <f t="shared" si="28"/>
        <v>0</v>
      </c>
      <c r="R25" s="39">
        <f t="shared" si="29"/>
        <v>0</v>
      </c>
      <c r="S25" s="40">
        <v>1</v>
      </c>
      <c r="T25" s="39">
        <f t="shared" si="30"/>
        <v>0</v>
      </c>
      <c r="U25" s="39">
        <f t="shared" si="31"/>
        <v>0</v>
      </c>
      <c r="V25" s="39">
        <f t="shared" si="32"/>
        <v>0</v>
      </c>
      <c r="W25" s="2"/>
      <c r="X25" s="2"/>
      <c r="Y25" s="2"/>
    </row>
    <row r="26" spans="1:25" s="4" customFormat="1" ht="20.149999999999999" customHeight="1">
      <c r="A26" s="27" t="s">
        <v>34</v>
      </c>
      <c r="B26" s="27" t="s">
        <v>14</v>
      </c>
      <c r="C26" s="27" t="s">
        <v>17</v>
      </c>
      <c r="D26" s="27" t="s">
        <v>18</v>
      </c>
      <c r="E26" s="37">
        <v>0</v>
      </c>
      <c r="F26" s="37">
        <v>6250</v>
      </c>
      <c r="G26" s="41"/>
      <c r="H26" s="41"/>
      <c r="I26" s="41"/>
      <c r="J26" s="42"/>
      <c r="K26" s="38">
        <v>0</v>
      </c>
      <c r="L26" s="38">
        <v>0</v>
      </c>
      <c r="M26" s="38">
        <f t="shared" si="24"/>
        <v>0</v>
      </c>
      <c r="N26" s="38">
        <f t="shared" si="25"/>
        <v>0</v>
      </c>
      <c r="O26" s="39">
        <f t="shared" si="26"/>
        <v>0</v>
      </c>
      <c r="P26" s="39">
        <f t="shared" si="27"/>
        <v>0</v>
      </c>
      <c r="Q26" s="39">
        <f t="shared" si="28"/>
        <v>0</v>
      </c>
      <c r="R26" s="39">
        <f t="shared" si="29"/>
        <v>0</v>
      </c>
      <c r="S26" s="40">
        <v>1</v>
      </c>
      <c r="T26" s="39">
        <f t="shared" si="30"/>
        <v>0</v>
      </c>
      <c r="U26" s="39">
        <f t="shared" si="31"/>
        <v>0</v>
      </c>
      <c r="V26" s="39">
        <f t="shared" si="32"/>
        <v>0</v>
      </c>
      <c r="W26" s="2"/>
      <c r="X26" s="2"/>
      <c r="Y26" s="2"/>
    </row>
    <row r="27" spans="1:25" s="4" customFormat="1" ht="20.149999999999999" customHeight="1">
      <c r="A27" s="27" t="s">
        <v>34</v>
      </c>
      <c r="B27" s="27" t="s">
        <v>14</v>
      </c>
      <c r="C27" s="27" t="s">
        <v>19</v>
      </c>
      <c r="D27" s="27" t="s">
        <v>20</v>
      </c>
      <c r="E27" s="37">
        <v>0</v>
      </c>
      <c r="F27" s="37">
        <v>8090</v>
      </c>
      <c r="G27" s="41"/>
      <c r="H27" s="41"/>
      <c r="I27" s="41"/>
      <c r="J27" s="42"/>
      <c r="K27" s="38">
        <v>0</v>
      </c>
      <c r="L27" s="38">
        <v>0</v>
      </c>
      <c r="M27" s="38">
        <f t="shared" si="24"/>
        <v>0</v>
      </c>
      <c r="N27" s="38">
        <f t="shared" si="25"/>
        <v>0</v>
      </c>
      <c r="O27" s="39">
        <f t="shared" si="26"/>
        <v>0</v>
      </c>
      <c r="P27" s="39">
        <f t="shared" si="27"/>
        <v>0</v>
      </c>
      <c r="Q27" s="39">
        <f t="shared" si="28"/>
        <v>0</v>
      </c>
      <c r="R27" s="39">
        <f t="shared" si="29"/>
        <v>0</v>
      </c>
      <c r="S27" s="40">
        <v>1</v>
      </c>
      <c r="T27" s="39">
        <f t="shared" si="30"/>
        <v>0</v>
      </c>
      <c r="U27" s="39">
        <f t="shared" si="31"/>
        <v>0</v>
      </c>
      <c r="V27" s="39">
        <f t="shared" si="32"/>
        <v>0</v>
      </c>
      <c r="W27" s="2"/>
      <c r="X27" s="2"/>
      <c r="Y27" s="2"/>
    </row>
    <row r="28" spans="1:25" s="4" customFormat="1" ht="20.149999999999999" customHeight="1">
      <c r="A28" s="27" t="s">
        <v>34</v>
      </c>
      <c r="B28" s="27" t="s">
        <v>47</v>
      </c>
      <c r="C28" s="27" t="s">
        <v>41</v>
      </c>
      <c r="D28" s="27" t="s">
        <v>42</v>
      </c>
      <c r="E28" s="37">
        <v>0</v>
      </c>
      <c r="F28" s="37">
        <v>52880</v>
      </c>
      <c r="G28" s="41"/>
      <c r="H28" s="41"/>
      <c r="I28" s="41"/>
      <c r="J28" s="42"/>
      <c r="K28" s="38">
        <v>0</v>
      </c>
      <c r="L28" s="38">
        <v>0</v>
      </c>
      <c r="M28" s="38">
        <f t="shared" ref="M28:M30" si="33">K28</f>
        <v>0</v>
      </c>
      <c r="N28" s="38">
        <f t="shared" ref="N28:N30" si="34">ROUND(IF(E28=0,0,M28/E28),6)</f>
        <v>0</v>
      </c>
      <c r="O28" s="39">
        <f t="shared" ref="O28:O30" si="35">ROUND(N28*0.0925,6)</f>
        <v>0</v>
      </c>
      <c r="P28" s="39">
        <f t="shared" ref="P28:P30" si="36">N28-O28</f>
        <v>0</v>
      </c>
      <c r="Q28" s="39">
        <f t="shared" ref="Q28:Q30" si="37">E28*O28</f>
        <v>0</v>
      </c>
      <c r="R28" s="39">
        <f t="shared" ref="R28:R30" si="38">ROUND(E28*P28,6)</f>
        <v>0</v>
      </c>
      <c r="S28" s="40">
        <v>1</v>
      </c>
      <c r="T28" s="39">
        <f t="shared" ref="T28:T30" si="39">ROUND(Q28*S28,6)</f>
        <v>0</v>
      </c>
      <c r="U28" s="39">
        <f t="shared" ref="U28:U30" si="40">R28</f>
        <v>0</v>
      </c>
      <c r="V28" s="39">
        <f t="shared" ref="V28:V30" si="41">ROUND(SUM(T28:U28),6)</f>
        <v>0</v>
      </c>
      <c r="W28" s="2"/>
      <c r="X28" s="2"/>
      <c r="Y28" s="2"/>
    </row>
    <row r="29" spans="1:25" s="4" customFormat="1" ht="20.149999999999999" customHeight="1">
      <c r="A29" s="27" t="s">
        <v>34</v>
      </c>
      <c r="B29" s="27" t="s">
        <v>47</v>
      </c>
      <c r="C29" s="27" t="s">
        <v>43</v>
      </c>
      <c r="D29" s="27" t="s">
        <v>44</v>
      </c>
      <c r="E29" s="37">
        <v>0</v>
      </c>
      <c r="F29" s="37">
        <v>7163</v>
      </c>
      <c r="G29" s="41"/>
      <c r="H29" s="41"/>
      <c r="I29" s="41"/>
      <c r="J29" s="42"/>
      <c r="K29" s="38">
        <v>0</v>
      </c>
      <c r="L29" s="38">
        <v>0</v>
      </c>
      <c r="M29" s="38">
        <f t="shared" si="33"/>
        <v>0</v>
      </c>
      <c r="N29" s="38">
        <f t="shared" si="34"/>
        <v>0</v>
      </c>
      <c r="O29" s="39">
        <f t="shared" si="35"/>
        <v>0</v>
      </c>
      <c r="P29" s="39">
        <f t="shared" si="36"/>
        <v>0</v>
      </c>
      <c r="Q29" s="39">
        <f t="shared" si="37"/>
        <v>0</v>
      </c>
      <c r="R29" s="39">
        <f t="shared" si="38"/>
        <v>0</v>
      </c>
      <c r="S29" s="40">
        <v>1</v>
      </c>
      <c r="T29" s="39">
        <f t="shared" si="39"/>
        <v>0</v>
      </c>
      <c r="U29" s="39">
        <f t="shared" si="40"/>
        <v>0</v>
      </c>
      <c r="V29" s="39">
        <f t="shared" si="41"/>
        <v>0</v>
      </c>
      <c r="W29" s="2"/>
      <c r="X29" s="2"/>
      <c r="Y29" s="2"/>
    </row>
    <row r="30" spans="1:25" s="4" customFormat="1" ht="20.149999999999999" customHeight="1">
      <c r="A30" s="27" t="s">
        <v>34</v>
      </c>
      <c r="B30" s="27" t="s">
        <v>47</v>
      </c>
      <c r="C30" s="27" t="s">
        <v>45</v>
      </c>
      <c r="D30" s="27" t="s">
        <v>46</v>
      </c>
      <c r="E30" s="37">
        <v>0</v>
      </c>
      <c r="F30" s="37">
        <v>9423</v>
      </c>
      <c r="G30" s="41"/>
      <c r="H30" s="41"/>
      <c r="I30" s="41"/>
      <c r="J30" s="42"/>
      <c r="K30" s="38">
        <v>0</v>
      </c>
      <c r="L30" s="38">
        <v>0</v>
      </c>
      <c r="M30" s="38">
        <f t="shared" si="33"/>
        <v>0</v>
      </c>
      <c r="N30" s="38">
        <f t="shared" si="34"/>
        <v>0</v>
      </c>
      <c r="O30" s="39">
        <f t="shared" si="35"/>
        <v>0</v>
      </c>
      <c r="P30" s="39">
        <f t="shared" si="36"/>
        <v>0</v>
      </c>
      <c r="Q30" s="39">
        <f t="shared" si="37"/>
        <v>0</v>
      </c>
      <c r="R30" s="39">
        <f t="shared" si="38"/>
        <v>0</v>
      </c>
      <c r="S30" s="40">
        <v>1</v>
      </c>
      <c r="T30" s="39">
        <f t="shared" si="39"/>
        <v>0</v>
      </c>
      <c r="U30" s="39">
        <f t="shared" si="40"/>
        <v>0</v>
      </c>
      <c r="V30" s="39">
        <f t="shared" si="41"/>
        <v>0</v>
      </c>
      <c r="W30" s="2"/>
      <c r="X30" s="2"/>
      <c r="Y30" s="2"/>
    </row>
    <row r="31" spans="1:25" s="4" customFormat="1" ht="20.149999999999999" customHeight="1">
      <c r="A31" s="27" t="s">
        <v>34</v>
      </c>
      <c r="B31" s="27" t="s">
        <v>21</v>
      </c>
      <c r="C31" s="27" t="s">
        <v>22</v>
      </c>
      <c r="D31" s="27" t="s">
        <v>23</v>
      </c>
      <c r="E31" s="37">
        <v>0</v>
      </c>
      <c r="F31" s="37">
        <v>0</v>
      </c>
      <c r="G31" s="41"/>
      <c r="H31" s="41"/>
      <c r="I31" s="41"/>
      <c r="J31" s="42"/>
      <c r="K31" s="38">
        <v>0</v>
      </c>
      <c r="L31" s="38">
        <v>0</v>
      </c>
      <c r="M31" s="38">
        <f t="shared" si="24"/>
        <v>0</v>
      </c>
      <c r="N31" s="38">
        <f t="shared" si="25"/>
        <v>0</v>
      </c>
      <c r="O31" s="39">
        <f t="shared" si="26"/>
        <v>0</v>
      </c>
      <c r="P31" s="39">
        <f t="shared" si="27"/>
        <v>0</v>
      </c>
      <c r="Q31" s="39">
        <f t="shared" si="28"/>
        <v>0</v>
      </c>
      <c r="R31" s="39">
        <f t="shared" si="29"/>
        <v>0</v>
      </c>
      <c r="S31" s="40">
        <v>1</v>
      </c>
      <c r="T31" s="39">
        <f t="shared" si="30"/>
        <v>0</v>
      </c>
      <c r="U31" s="39">
        <f t="shared" si="31"/>
        <v>0</v>
      </c>
      <c r="V31" s="39">
        <f t="shared" si="32"/>
        <v>0</v>
      </c>
      <c r="W31" s="2"/>
      <c r="X31" s="2"/>
      <c r="Y31" s="2"/>
    </row>
    <row r="32" spans="1:25" s="4" customFormat="1" ht="20.149999999999999" customHeight="1">
      <c r="A32" s="27" t="s">
        <v>34</v>
      </c>
      <c r="B32" s="27" t="s">
        <v>21</v>
      </c>
      <c r="C32" s="27" t="s">
        <v>24</v>
      </c>
      <c r="D32" s="27" t="s">
        <v>25</v>
      </c>
      <c r="E32" s="37">
        <v>0</v>
      </c>
      <c r="F32" s="37">
        <v>0</v>
      </c>
      <c r="G32" s="41"/>
      <c r="H32" s="41"/>
      <c r="I32" s="41"/>
      <c r="J32" s="42"/>
      <c r="K32" s="38">
        <v>0</v>
      </c>
      <c r="L32" s="38">
        <v>0</v>
      </c>
      <c r="M32" s="38">
        <f t="shared" si="24"/>
        <v>0</v>
      </c>
      <c r="N32" s="38">
        <f t="shared" si="25"/>
        <v>0</v>
      </c>
      <c r="O32" s="39">
        <f t="shared" si="26"/>
        <v>0</v>
      </c>
      <c r="P32" s="39">
        <f t="shared" si="27"/>
        <v>0</v>
      </c>
      <c r="Q32" s="39">
        <f t="shared" si="28"/>
        <v>0</v>
      </c>
      <c r="R32" s="39">
        <f t="shared" si="29"/>
        <v>0</v>
      </c>
      <c r="S32" s="40">
        <v>1</v>
      </c>
      <c r="T32" s="39">
        <f t="shared" si="30"/>
        <v>0</v>
      </c>
      <c r="U32" s="39">
        <f t="shared" si="31"/>
        <v>0</v>
      </c>
      <c r="V32" s="39">
        <f t="shared" si="32"/>
        <v>0</v>
      </c>
      <c r="W32" s="2"/>
      <c r="X32" s="2"/>
      <c r="Y32" s="2"/>
    </row>
    <row r="33" spans="5:22" s="13" customFormat="1" ht="19.5" customHeight="1">
      <c r="E33" s="17">
        <f>SUM(E21:E32)</f>
        <v>2037.1751999999999</v>
      </c>
      <c r="I33" s="15"/>
      <c r="V33" s="16">
        <f>SUM(V21:V32)</f>
        <v>357250.239619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7267-66AE-4FD9-8037-2B03050FB94E}">
  <dimension ref="A1:M5"/>
  <sheetViews>
    <sheetView showGridLines="0" workbookViewId="0">
      <selection activeCell="C3" sqref="C3"/>
    </sheetView>
  </sheetViews>
  <sheetFormatPr defaultColWidth="9.1640625" defaultRowHeight="19.5" customHeight="1"/>
  <cols>
    <col min="1" max="1" width="23.6640625" customWidth="1"/>
    <col min="2" max="2" width="26.6640625" customWidth="1"/>
    <col min="3" max="3" width="30.6640625" customWidth="1"/>
    <col min="4" max="10" width="17" customWidth="1"/>
    <col min="11" max="12" width="20.6640625" customWidth="1"/>
  </cols>
  <sheetData>
    <row r="1" spans="1:13" ht="49.5" customHeight="1">
      <c r="C1" s="10" t="str">
        <f>RESUMO!C1</f>
        <v>reembolso mensal CCC - ENERGISA AC</v>
      </c>
    </row>
    <row r="2" spans="1:13" ht="30" customHeight="1">
      <c r="C2" s="11" t="s">
        <v>48</v>
      </c>
      <c r="D2" s="5">
        <f>RESUMO!C2</f>
        <v>46143</v>
      </c>
      <c r="E2" s="2"/>
      <c r="F2" s="2"/>
      <c r="G2" s="2"/>
      <c r="H2" s="2"/>
      <c r="I2" s="2"/>
      <c r="J2" s="2"/>
    </row>
    <row r="3" spans="1:13" s="4" customFormat="1" ht="60" customHeight="1">
      <c r="A3" s="34" t="s">
        <v>53</v>
      </c>
      <c r="B3" s="34" t="s">
        <v>4</v>
      </c>
      <c r="C3" s="34" t="s">
        <v>55</v>
      </c>
      <c r="D3" s="34" t="s">
        <v>56</v>
      </c>
      <c r="E3" s="34" t="s">
        <v>76</v>
      </c>
      <c r="F3" s="34" t="s">
        <v>90</v>
      </c>
      <c r="G3" s="34" t="s">
        <v>88</v>
      </c>
      <c r="H3" s="34" t="s">
        <v>89</v>
      </c>
      <c r="I3" s="34" t="s">
        <v>77</v>
      </c>
      <c r="J3" s="34" t="s">
        <v>73</v>
      </c>
      <c r="K3" s="2"/>
      <c r="L3" s="2"/>
      <c r="M3" s="2"/>
    </row>
    <row r="4" spans="1:13" s="4" customFormat="1" ht="20.149999999999999" customHeight="1">
      <c r="A4" s="27" t="s">
        <v>34</v>
      </c>
      <c r="B4" s="27" t="s">
        <v>35</v>
      </c>
      <c r="C4" s="27" t="s">
        <v>36</v>
      </c>
      <c r="D4" s="36">
        <v>25.751000000000001</v>
      </c>
      <c r="E4" s="38">
        <v>6646.67</v>
      </c>
      <c r="F4" s="45">
        <v>7359.06</v>
      </c>
      <c r="G4" s="46">
        <v>7359.06</v>
      </c>
      <c r="H4" s="45">
        <v>4311.83</v>
      </c>
      <c r="I4" s="46">
        <f>(4921.26+(H4*G4/F4))</f>
        <v>9233.09</v>
      </c>
      <c r="J4" s="38">
        <f>I4*D4</f>
        <v>237761.30059000003</v>
      </c>
      <c r="K4" s="2"/>
      <c r="L4" s="2"/>
      <c r="M4" s="2"/>
    </row>
    <row r="5" spans="1:13" s="13" customFormat="1" ht="19.5" customHeight="1">
      <c r="D5" s="14">
        <f>SUM(D4:D4)</f>
        <v>25.751000000000001</v>
      </c>
      <c r="G5" s="15"/>
      <c r="H5" s="15"/>
      <c r="J5" s="18">
        <f>SUM(J4:J4)</f>
        <v>237761.30059000003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53AF-BC64-4399-B911-105288397A91}">
  <dimension ref="A1:M7"/>
  <sheetViews>
    <sheetView showGridLines="0" workbookViewId="0">
      <selection activeCell="A3" sqref="A3"/>
    </sheetView>
  </sheetViews>
  <sheetFormatPr defaultColWidth="9.1640625" defaultRowHeight="19.5" customHeight="1"/>
  <cols>
    <col min="1" max="1" width="38.5" bestFit="1" customWidth="1"/>
    <col min="2" max="11" width="17.08203125" customWidth="1"/>
    <col min="12" max="12" width="20.6640625" customWidth="1"/>
  </cols>
  <sheetData>
    <row r="1" spans="1:13" ht="49.5" customHeight="1">
      <c r="C1" s="10" t="str">
        <f>RESUMO!C1</f>
        <v>reembolso mensal CCC - ENERGISA AC</v>
      </c>
    </row>
    <row r="2" spans="1:13" ht="30" customHeight="1">
      <c r="C2" s="11" t="s">
        <v>48</v>
      </c>
      <c r="D2" s="5">
        <f>RESUMO!C2</f>
        <v>46143</v>
      </c>
      <c r="E2" s="2"/>
      <c r="F2" s="2"/>
      <c r="G2" s="2"/>
      <c r="H2" s="2"/>
      <c r="I2" s="2"/>
      <c r="J2" s="2"/>
    </row>
    <row r="3" spans="1:13" s="20" customFormat="1" ht="60" customHeight="1">
      <c r="A3" s="34" t="s">
        <v>53</v>
      </c>
      <c r="B3" s="34" t="s">
        <v>78</v>
      </c>
      <c r="C3" s="34" t="s">
        <v>79</v>
      </c>
      <c r="D3" s="34" t="s">
        <v>80</v>
      </c>
      <c r="E3" s="34" t="s">
        <v>81</v>
      </c>
      <c r="F3" s="34" t="s">
        <v>87</v>
      </c>
      <c r="G3" s="34" t="s">
        <v>88</v>
      </c>
      <c r="H3" s="34" t="s">
        <v>89</v>
      </c>
      <c r="I3" s="34" t="s">
        <v>77</v>
      </c>
      <c r="J3" s="34" t="s">
        <v>82</v>
      </c>
      <c r="K3" s="34" t="s">
        <v>83</v>
      </c>
      <c r="L3" s="19"/>
      <c r="M3" s="19"/>
    </row>
    <row r="4" spans="1:13" s="4" customFormat="1" ht="20.149999999999999" customHeight="1">
      <c r="A4" s="27" t="s">
        <v>34</v>
      </c>
      <c r="B4" s="43" t="s">
        <v>84</v>
      </c>
      <c r="C4" s="27">
        <v>0.16</v>
      </c>
      <c r="D4" s="44">
        <v>359</v>
      </c>
      <c r="E4" s="39">
        <f>(D4*C4)</f>
        <v>57.44</v>
      </c>
      <c r="F4" s="45">
        <v>7359.06</v>
      </c>
      <c r="G4" s="45">
        <v>7359.06</v>
      </c>
      <c r="H4" s="45">
        <v>4311.83</v>
      </c>
      <c r="I4" s="46">
        <f>ROUND((9233.09*ROUND(G4/F4,12)),6)</f>
        <v>9233.09</v>
      </c>
      <c r="J4" s="39">
        <f>ROUND(C4*$I$6,6)</f>
        <v>1477.2944</v>
      </c>
      <c r="K4" s="46">
        <f>D4*J4</f>
        <v>530348.68960000004</v>
      </c>
      <c r="L4" s="2"/>
      <c r="M4" s="2"/>
    </row>
    <row r="5" spans="1:13" s="4" customFormat="1" ht="20.149999999999999" customHeight="1">
      <c r="A5" s="27" t="s">
        <v>34</v>
      </c>
      <c r="B5" s="43" t="s">
        <v>40</v>
      </c>
      <c r="C5" s="27">
        <v>0.08</v>
      </c>
      <c r="D5" s="44">
        <v>8432</v>
      </c>
      <c r="E5" s="39">
        <f>(D5*C5)</f>
        <v>674.56000000000006</v>
      </c>
      <c r="F5" s="45">
        <v>7359.06</v>
      </c>
      <c r="G5" s="45">
        <v>7359.06</v>
      </c>
      <c r="H5" s="45">
        <v>4311.83</v>
      </c>
      <c r="I5" s="46">
        <f>ROUND((9233.09*ROUND(G5/F5,12)),6)</f>
        <v>9233.09</v>
      </c>
      <c r="J5" s="39">
        <f>ROUND(C5*$I$6,6)</f>
        <v>738.6472</v>
      </c>
      <c r="K5" s="46">
        <f>D5*J5</f>
        <v>6228273.1903999997</v>
      </c>
      <c r="L5" s="2"/>
      <c r="M5" s="2"/>
    </row>
    <row r="6" spans="1:13" ht="19.5" customHeight="1">
      <c r="A6" s="27" t="s">
        <v>34</v>
      </c>
      <c r="B6" s="43" t="s">
        <v>39</v>
      </c>
      <c r="C6" s="27">
        <v>4.4999999999999998E-2</v>
      </c>
      <c r="D6" s="44">
        <v>985</v>
      </c>
      <c r="E6" s="39">
        <f t="shared" ref="E6" si="0">(D6*C6)</f>
        <v>44.324999999999996</v>
      </c>
      <c r="F6" s="45">
        <v>7359.06</v>
      </c>
      <c r="G6" s="45">
        <v>7359.06</v>
      </c>
      <c r="H6" s="45">
        <v>4311.83</v>
      </c>
      <c r="I6" s="46">
        <f>ROUND((9233.09*ROUND(G6/F6,12)),6)</f>
        <v>9233.09</v>
      </c>
      <c r="J6" s="39">
        <f>ROUND(C6*$I$6,6)</f>
        <v>415.48905000000002</v>
      </c>
      <c r="K6" s="46">
        <f t="shared" ref="K6" si="1">D6*J6</f>
        <v>409256.71425000002</v>
      </c>
    </row>
    <row r="7" spans="1:13" s="13" customFormat="1" ht="19.5" customHeight="1">
      <c r="C7" s="19"/>
      <c r="D7" s="49">
        <f>SUBTOTAL(9,D4:D6)</f>
        <v>9776</v>
      </c>
      <c r="E7" s="21">
        <f>SUBTOTAL(9,E4:E6)</f>
        <v>776.32500000000005</v>
      </c>
      <c r="J7" s="22"/>
      <c r="K7" s="47">
        <f>SUBTOTAL(9,K4:K6)</f>
        <v>7167878.5942500001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CONTRATOS CCESI</vt:lpstr>
      <vt:lpstr>MIGDI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2026-07-15T14:47:29Z</dcterms:modified>
</cp:coreProperties>
</file>